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44509a32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ferral Model" sheetId="1" r:id="Rdda0b6bd0dc846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;(0);&quot;—&quot;"/>
    <x:numFmt numFmtId="202" formatCode="  @"/>
    <x:numFmt numFmtId="203" formatCode="0.0%;(0.0%);&quot;—&quot;"/>
    <x:numFmt numFmtId="204" formatCode="0.0000"/>
  </x:numFmts>
  <x:fonts count="13">
    <x:font>
      <x:sz val="11"/>
      <x:name val="Carlito"/>
    </x:font>
    <x:font>
      <x:sz val="10"/>
      <x:color rgb="FF000000"/>
      <x:name val="Arial"/>
    </x:font>
    <x:font>
      <x:b/>
      <x:sz val="16"/>
      <x:color rgb="FF142D45"/>
      <x:name val="Arial"/>
    </x:font>
    <x:font>
      <x:i/>
      <x:sz val="10"/>
      <x:color rgb="FF607183"/>
      <x:name val="Arial"/>
    </x:font>
    <x:font>
      <x:b/>
      <x:sz val="10"/>
      <x:color rgb="FF167044"/>
      <x:name val="Arial"/>
    </x:font>
    <x:font>
      <x:b/>
      <x:sz val="10"/>
      <x:color rgb="FFFFFFFF"/>
      <x:name val="Arial"/>
    </x:font>
    <x:font>
      <x:b/>
      <x:sz val="10"/>
      <x:color rgb="FF142D45"/>
      <x:name val="Arial"/>
    </x:font>
    <x:font>
      <x:b/>
      <x:sz val="14"/>
      <x:color rgb="FF142D45"/>
      <x:name val="Arial"/>
    </x:font>
    <x:font>
      <x:b/>
      <x:sz val="10"/>
      <x:color rgb="FF000000"/>
      <x:name val="Arial"/>
    </x:font>
    <x:font>
      <x:i/>
      <x:sz val="10"/>
      <x:color rgb="FF000000"/>
      <x:name val="Arial"/>
    </x:font>
    <x:font>
      <x:sz val="10"/>
      <x:color rgb="FF155CC0"/>
      <x:name val="Arial"/>
    </x:font>
    <x:font>
      <x:i/>
      <x:sz val="10"/>
      <x:color rgb="FF155CC0"/>
      <x:name val="Arial"/>
    </x:font>
    <x:font>
      <x:sz val="10"/>
      <x:color rgb="FF60718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D45"/>
      </x:patternFill>
    </x:fill>
    <x:fill>
      <x:patternFill patternType="solid">
        <x:fgColor rgb="FFEDF2F7"/>
      </x:patternFill>
    </x:fill>
    <x:fill>
      <x:patternFill patternType="solid">
        <x:fgColor rgb="FFF4F8FD"/>
      </x:patternFill>
    </x:fill>
  </x:fills>
  <x:borders count="7">
    <x:border/>
    <x:border>
      <x:bottom style="thin">
        <x:color rgb="FFC7D1DB"/>
      </x:bottom>
    </x:border>
    <x:border>
      <x:left style="dashed">
        <x:color rgb="FFC7D1DB"/>
      </x:left>
      <x:right style="dashed">
        <x:color rgb="FFC7D1DB"/>
      </x:right>
      <x:top style="dashed">
        <x:color rgb="FFC7D1DB"/>
      </x:top>
      <x:bottom style="dashed">
        <x:color rgb="FFC7D1DB"/>
      </x:bottom>
    </x:border>
    <x:border>
      <x:top style="thin">
        <x:color rgb="FFC7D1DB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3" fontId="9" fillId="0" borderId="0" xfId="0" applyNumberFormat="1" applyFont="1" applyFill="1" applyBorder="1" applyAlignment="1">
      <x:alignment horizontal="right" vertical="center"/>
    </x:xf>
    <x:xf numFmtId="200" fontId="8" fillId="3" borderId="0" xfId="0" applyNumberFormat="1" applyFont="1" applyFill="1" applyBorder="1" applyAlignment="1">
      <x:alignment horizontal="right" vertical="center"/>
    </x:xf>
    <x:xf numFmtId="201" fontId="10" fillId="0" borderId="0" xfId="0" applyNumberFormat="1" applyFont="1" applyFill="1" applyBorder="1" applyAlignment="1">
      <x:alignment horizontal="right" vertical="center"/>
    </x:xf>
    <x:xf numFmtId="201" fontId="10" fillId="4" borderId="0" xfId="0" applyNumberFormat="1" applyFont="1" applyFill="1" applyBorder="1" applyAlignment="1">
      <x:alignment horizontal="right" vertical="center"/>
    </x:xf>
    <x:xf numFmtId="200" fontId="10" fillId="0" borderId="0" xfId="0" applyNumberFormat="1" applyFont="1" applyFill="1" applyBorder="1" applyAlignment="1">
      <x:alignment horizontal="right" vertical="center"/>
    </x:xf>
    <x:xf numFmtId="200" fontId="10" fillId="4" borderId="0" xfId="0" applyNumberFormat="1" applyFont="1" applyFill="1" applyBorder="1" applyAlignment="1">
      <x:alignment horizontal="right" vertical="center"/>
    </x:xf>
    <x:xf numFmtId="203" fontId="11" fillId="0" borderId="0" xfId="0" applyNumberFormat="1" applyFont="1" applyFill="1" applyBorder="1" applyAlignment="1">
      <x:alignment horizontal="right" vertical="center"/>
    </x:xf>
    <x:xf numFmtId="203" fontId="11" fillId="4" borderId="0" xfId="0" applyNumberFormat="1" applyFont="1" applyFill="1" applyBorder="1" applyAlignment="1">
      <x:alignment horizontal="right" vertical="center"/>
    </x:xf>
    <x:xf numFmtId="0" fontId="12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 wrapText="0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6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5" xfId="0" applyNumberFormat="1" applyFont="1" applyFill="1" applyBorder="1" applyAlignment="1">
      <x:alignment vertical="center" wrapText="1"/>
    </x:xf>
    <x:xf numFmtId="0" fontId="5" fillId="2" borderId="6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5" fillId="2" borderId="5" xfId="0" applyNumberFormat="1" applyFont="1" applyFill="1" applyBorder="1" applyAlignment="1">
      <x:alignment horizontal="center" vertical="center" wrapText="1"/>
    </x:xf>
    <x:xf numFmtId="0" fontId="5" fillId="2" borderId="6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 applyAlignment="1">
      <x:alignment horizontal="right" vertical="center"/>
    </x:xf>
    <x:xf numFmtId="204" fontId="9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3">
    <x:dxf>
      <x:font>
        <x:color rgb="FFA52D36"/>
      </x:font>
    </x:dxf>
    <x:dxf>
      <x:fill>
        <x:patternFill patternType="solid">
          <x:bgColor rgb="FFFFF1D5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ill>
        <x:patternFill patternType="solid">
          <x:bgColor rgb="FFFFF1D5"/>
        </x:patternFill>
      </x:fill>
    </x:dxf>
    <x:dxf>
      <x:font>
        <x:b/>
      </x:font>
      <x:border>
        <x:top style="thin">
          <x:color rgb="FFC7D1DB"/>
        </x:top>
      </x:border>
    </x:dxf>
    <x:dxf>
      <x:font>
        <x:b/>
        <x:color rgb="FFA52D36"/>
      </x:font>
      <x:fill>
        <x:patternFill patternType="solid">
          <x:bgColor rgb="FFFCE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1b32f33434ab0" /><Relationship Type="http://schemas.openxmlformats.org/officeDocument/2006/relationships/theme" Target="/xl/theme/theme1.xml" Id="Rb63599907da14424" /><Relationship Type="http://schemas.openxmlformats.org/officeDocument/2006/relationships/sharedStrings" Target="/xl/sharedStrings.xml" Id="Rf8d4f94ca86b4935" /><Relationship Type="http://schemas.openxmlformats.org/officeDocument/2006/relationships/worksheet" Target="/xl/worksheets/sheet1.xml" Id="Rdda0b6bd0dc846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D45"/>
  </x:sheetPr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15" hidden="0" customWidth="1"/>
    <x:col min="4" max="4" width="16" hidden="0" customWidth="1"/>
    <x:col min="5" max="5" width="17" hidden="0" customWidth="1"/>
    <x:col min="6" max="6" width="17" hidden="0" customWidth="1"/>
    <x:col min="7" max="7" width="20" hidden="0" customWidth="1"/>
    <x:col min="8" max="8" width="17" hidden="0" customWidth="1"/>
    <x:col min="9" max="9" width="17" hidden="0" customWidth="1"/>
    <x:col min="10" max="10" width="3" hidden="0" customWidth="1"/>
    <x:col min="11" max="11" width="49" hidden="0" customWidth="1"/>
  </x:cols>
  <x:sheetData>
    <x:row r="1" ht="16" customHeight="1"/>
    <x:row r="2" ht="29" customHeight="1">
      <x:c r="B2" s="4" t="str">
        <x:v>Backstop Deferral Model</x:v>
      </x:c>
      <x:c r="C2" s="5"/>
      <x:c r="D2" s="5"/>
      <x:c r="E2" s="5"/>
      <x:c r="F2" s="5"/>
      <x:c r="G2" s="5"/>
      <x:c r="H2" s="5"/>
      <x:c r="I2" s="5"/>
      <x:c r="J2" s="5"/>
      <x:c r="K2" s="5"/>
    </x:row>
    <x:row r="3" ht="21" customHeight="1">
      <x:c r="B3" s="6" t="str">
        <x:v>AI Infra Credit. Cash units. Version 1. September 21, 2026.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B4" s="2" t="str">
        <x:v>Case Selected:</x:v>
      </x:c>
      <x:c r="C4" s="2"/>
      <x:c r="D4" s="9" t="str">
        <x:f>IF($I$4=1,"Base",IF($I$4=2,"Downside","Select 1 or 2"))</x:f>
        <x:v>Base</x:v>
      </x:c>
      <x:c r="E4" s="2"/>
      <x:c r="F4" s="2"/>
      <x:c r="G4" s="2" t="str">
        <x:v>Case selector</x:v>
      </x:c>
      <x:c r="H4" s="2"/>
      <x:c r="I4" s="32" t="n">
        <x:v>1</x:v>
      </x:c>
      <x:c r="J4" s="2"/>
      <x:c r="K4" s="2"/>
    </x:row>
    <x:row r="5" ht="21" customHeight="1">
      <x:c r="B5" s="2"/>
      <x:c r="C5" s="2"/>
      <x:c r="D5" s="2"/>
      <x:c r="E5" s="2"/>
      <x:c r="F5" s="2"/>
      <x:c r="G5" s="2"/>
      <x:c r="H5" s="2"/>
      <x:c r="I5" s="28"/>
      <x:c r="J5" s="2"/>
      <x:c r="K5" s="2"/>
    </x:row>
    <x:row r="6" ht="24" customHeight="1">
      <x:c r="B6" s="11" t="str">
        <x:v>Results</x:v>
      </x:c>
      <x:c r="C6" s="11"/>
      <x:c r="D6" s="11"/>
      <x:c r="E6" s="12" t="str">
        <x:v>Cash units</x:v>
      </x:c>
      <x:c r="F6" s="2"/>
      <x:c r="G6" s="11" t="str">
        <x:v>Assumptions</x:v>
      </x:c>
      <x:c r="H6" s="11"/>
      <x:c r="I6" s="12" t="str">
        <x:v>Editable in blue</x:v>
      </x:c>
      <x:c r="J6" s="2"/>
      <x:c r="K6" s="13" t="str">
        <x:v>How to use</x:v>
      </x:c>
    </x:row>
    <x:row r="7" ht="21" customHeight="1">
      <x:c r="B7" s="2"/>
      <x:c r="C7" s="2"/>
      <x:c r="D7" s="2"/>
      <x:c r="E7" s="2"/>
      <x:c r="F7" s="2"/>
      <x:c r="G7" s="2"/>
      <x:c r="H7" s="2"/>
      <x:c r="I7" s="28"/>
      <x:c r="J7" s="2"/>
      <x:c r="K7" s="2"/>
    </x:row>
    <x:row r="8" ht="28" customHeight="1">
      <x:c r="B8" s="2" t="str">
        <x:v>Present value of deferral</x:v>
      </x:c>
      <x:c r="C8" s="2"/>
      <x:c r="D8" s="2"/>
      <x:c r="E8" s="18" t="n">
        <x:f>SUM(G28:G39)</x:f>
        <x:v>52.05272522246076</x:v>
      </x:c>
      <x:c r="F8" s="2"/>
      <x:c r="G8" s="2" t="str">
        <x:v>Immediate settlement</x:v>
      </x:c>
      <x:c r="H8" s="2"/>
      <x:c r="I8" s="34" t="n">
        <x:v>60</x:v>
      </x:c>
      <x:c r="J8" s="2"/>
      <x:c r="K8" s="38" t="str">
        <x:v>Edit blue values. I4 selects the case.</x:v>
      </x:c>
    </x:row>
    <x:row r="9" ht="28" customHeight="1">
      <x:c r="B9" s="2" t="str">
        <x:v>Advantage vs immediate settlement</x:v>
      </x:c>
      <x:c r="C9" s="2"/>
      <x:c r="D9" s="2"/>
      <x:c r="E9" s="18" t="n">
        <x:f>IF(AND(ISNUMBER(I8),I8&gt;=0),I8-E8,NA())</x:f>
        <x:v>7.947274777539242</x:v>
      </x:c>
      <x:c r="F9" s="2"/>
      <x:c r="G9" s="2" t="str">
        <x:v>Opening cash</x:v>
      </x:c>
      <x:c r="H9" s="2"/>
      <x:c r="I9" s="34" t="n">
        <x:v>3</x:v>
      </x:c>
      <x:c r="J9" s="2"/>
      <x:c r="K9" s="38" t="str">
        <x:v>1 = Base. 2 = Downside.</x:v>
      </x:c>
    </x:row>
    <x:row r="10" ht="21" customHeight="1">
      <x:c r="B10" s="19" t="str">
        <x:v>Nominal deferred payments</x:v>
      </x:c>
      <x:c r="C10" s="19"/>
      <x:c r="D10" s="19"/>
      <x:c r="E10" s="20" t="n">
        <x:f>SUM(E28:E39)</x:f>
        <x:v>56</x:v>
      </x:c>
      <x:c r="F10" s="2"/>
      <x:c r="G10" s="26" t="str">
        <x:v>Annual discount rate</x:v>
      </x:c>
      <x:c r="H10" s="26"/>
      <x:c r="I10" s="36" t="n">
        <x:v>0.08</x:v>
      </x:c>
      <x:c r="J10" s="2"/>
      <x:c r="K10" s="38" t="str">
        <x:v>Deferred payments occur at month-end.</x:v>
      </x:c>
    </x:row>
    <x:row r="11" ht="21" customHeight="1">
      <x:c r="B11" s="2" t="str">
        <x:v>Peak funding gap</x:v>
      </x:c>
      <x:c r="C11" s="2"/>
      <x:c r="D11" s="2"/>
      <x:c r="E11" s="16" t="n">
        <x:f>MAX(I28:I39)</x:f>
        <x:v>53</x:v>
      </x:c>
      <x:c r="F11" s="2"/>
      <x:c r="G11" s="2" t="str">
        <x:v>Monthly carry cost</x:v>
      </x:c>
      <x:c r="H11" s="2"/>
      <x:c r="I11" s="34" t="n">
        <x:v>0.5</x:v>
      </x:c>
      <x:c r="J11" s="2"/>
      <x:c r="K11" s="38" t="str">
        <x:v>The immediate payment occurs today.</x:v>
      </x:c>
    </x:row>
    <x:row r="12" ht="21" customHeight="1">
      <x:c r="B12" s="2" t="str">
        <x:v>First funding gap (month)</x:v>
      </x:c>
      <x:c r="C12" s="2"/>
      <x:c r="D12" s="2"/>
      <x:c r="E12" s="17" t="n">
        <x:f>IF(E11=0,"n.a.",COUNTIFS(I28:I39,0,B28:B39,"&gt;=1")+1)</x:f>
        <x:v>7</x:v>
      </x:c>
      <x:c r="F12" s="2"/>
      <x:c r="G12" s="2" t="str">
        <x:v>Deferral period (months)</x:v>
      </x:c>
      <x:c r="H12" s="2"/>
      <x:c r="I12" s="32" t="n">
        <x:v>12</x:v>
      </x:c>
      <x:c r="J12" s="2"/>
      <x:c r="K12" s="38" t="str">
        <x:v>No interim receipts or cash interest.</x:v>
      </x:c>
    </x:row>
    <x:row r="13" ht="21" customHeight="1">
      <x:c r="B13" s="2" t="str">
        <x:v>Immediate settlement funding gap</x:v>
      </x:c>
      <x:c r="C13" s="2"/>
      <x:c r="D13" s="2"/>
      <x:c r="E13" s="16" t="n">
        <x:f>IF(AND(ISNUMBER(I8),I8&gt;=0,ISNUMBER(I9),I9&gt;=0),MAX(0,I8-I9),NA())</x:f>
        <x:v>57</x:v>
      </x:c>
      <x:c r="F13" s="2"/>
      <x:c r="G13" s="2"/>
      <x:c r="H13" s="2"/>
      <x:c r="I13" s="16"/>
      <x:c r="J13" s="2"/>
      <x:c r="K13" s="38" t="str">
        <x:v>Gaps exclude borrowing fees and interest.</x:v>
      </x:c>
    </x:row>
    <x:row r="14" ht="21" customHeight="1">
      <x:c r="B14" s="2" t="str">
        <x:v>Break-even terminal payment</x:v>
      </x:c>
      <x:c r="C14" s="2"/>
      <x:c r="D14" s="2"/>
      <x:c r="E14" s="16" t="n">
        <x:f>IF(AND(ISNUMBER(I8),I8&gt;=0),($I$8-E15)/INDEX(F28:F39,$I$12),NA())</x:f>
        <x:v>58.583056759742384</x:v>
      </x:c>
      <x:c r="F14" s="2"/>
      <x:c r="G14" s="22" t="str">
        <x:v>Terminal payment: active</x:v>
      </x:c>
      <x:c r="H14" s="22"/>
      <x:c r="I14" s="30" t="n">
        <x:f>IF(OR($I$4=1,$I$4=2),IF(CHOOSE($I$4,AND(ISNUMBER(I15),I15&gt;=0),AND(ISNUMBER(I16),I16&gt;=0)),CHOOSE($I$4,I15,I16),NA()),NA())</x:f>
        <x:v>50</x:v>
      </x:c>
      <x:c r="J14" s="2"/>
      <x:c r="K14" s="38" t="str">
        <x:v>Positive advantage favors deferral.</x:v>
      </x:c>
    </x:row>
    <x:row r="15" ht="21" customHeight="1">
      <x:c r="B15" s="2" t="str">
        <x:v>Present value of carry costs</x:v>
      </x:c>
      <x:c r="C15" s="2"/>
      <x:c r="D15" s="2"/>
      <x:c r="E15" s="16" t="n">
        <x:f>SUMPRODUCT(C28:C39,F28:F39)</x:f>
        <x:v>5.756428926164467</x:v>
      </x:c>
      <x:c r="F15" s="2"/>
      <x:c r="G15" s="23" t="str">
        <x:v>Base</x:v>
      </x:c>
      <x:c r="H15" s="2"/>
      <x:c r="I15" s="34" t="n">
        <x:v>50</x:v>
      </x:c>
      <x:c r="J15" s="2"/>
      <x:c r="K15" s="38" t="str">
        <x:v>No shortfall: first gap month is n.a.</x:v>
      </x:c>
    </x:row>
    <x:row r="16" ht="21" customHeight="1">
      <x:c r="B16" s="2"/>
      <x:c r="C16" s="2"/>
      <x:c r="D16" s="2"/>
      <x:c r="E16" s="2"/>
      <x:c r="F16" s="2"/>
      <x:c r="G16" s="23" t="str">
        <x:v>Downside</x:v>
      </x:c>
      <x:c r="H16" s="2"/>
      <x:c r="I16" s="34" t="n">
        <x:v>65</x:v>
      </x:c>
      <x:c r="J16" s="2"/>
      <x:c r="K16" s="38" t="str">
        <x:v>A negative break-even means no</x:v>
      </x:c>
    </x:row>
    <x:row r="17" ht="21" customHeight="1">
      <x:c r="B17" s="2"/>
      <x:c r="C17" s="2"/>
      <x:c r="D17" s="2"/>
      <x:c r="E17" s="2"/>
      <x:c r="F17" s="2"/>
      <x:c r="G17" s="2"/>
      <x:c r="H17" s="2"/>
      <x:c r="I17" s="2"/>
      <x:c r="J17" s="2"/>
      <x:c r="K17" s="38" t="str">
        <x:v>nonnegative terminal payment breaks even.</x:v>
      </x:c>
    </x:row>
    <x:row r="18" ht="21" customHeight="1">
      <x:c r="B18" s="13" t="str">
        <x:v>Sources and scope</x:v>
      </x:c>
      <x:c r="C18" s="2"/>
      <x:c r="D18" s="2"/>
      <x:c r="E18" s="2"/>
      <x:c r="F18" s="2"/>
      <x:c r="G18" s="2"/>
      <x:c r="H18" s="2"/>
      <x:c r="I18" s="2"/>
      <x:c r="J18" s="2"/>
      <x:c r="K18" s="38" t="str">
        <x:v>Missing required inputs show #N/A.</x:v>
      </x:c>
    </x:row>
    <x:row r="19" ht="21" customHeight="1">
      <x:c r="B19" s="6" t="str">
        <x:v>Source: AI Infra Credit, The Balance Sheet Behind the Backstop, September 21, 2026.</x:v>
      </x:c>
      <x:c r="C19" s="6"/>
      <x:c r="D19" s="6"/>
      <x:c r="E19" s="6"/>
      <x:c r="F19" s="6"/>
      <x:c r="G19" s="6"/>
      <x:c r="H19" s="6"/>
      <x:c r="I19" s="6"/>
      <x:c r="J19" s="6"/>
      <x:c r="K19" s="38"/>
    </x:row>
    <x:row r="20" ht="21" customHeight="1">
      <x:c r="B20" s="6" t="str">
        <x:v>https://aiinfracredit.com/en/research/the-balance-sheet-behind-the-backstop</x:v>
      </x:c>
      <x:c r="C20" s="6"/>
      <x:c r="D20" s="6"/>
      <x:c r="E20" s="6"/>
      <x:c r="F20" s="6"/>
      <x:c r="G20" s="6"/>
      <x:c r="H20" s="6"/>
      <x:c r="I20" s="6"/>
      <x:c r="J20" s="6"/>
      <x:c r="K20" s="38" t="str">
        <x:v>中文：修改蓝字，I4 切换基本/不利情景。</x:v>
      </x:c>
    </x:row>
    <x:row r="21" ht="21" customHeight="1">
      <x:c r="B21" s="6" t="str">
        <x:v>https://aiinfracredit.com/downloads/backstop-deferral-example.mjs</x:v>
      </x:c>
      <x:c r="C21" s="6"/>
      <x:c r="D21" s="6"/>
      <x:c r="E21" s="6"/>
      <x:c r="F21" s="6"/>
      <x:c r="G21" s="6"/>
      <x:c r="H21" s="6"/>
      <x:c r="I21" s="6"/>
      <x:c r="J21" s="6"/>
      <x:c r="K21" s="38" t="str">
        <x:v>负数以括号显示，零显示为横线。</x:v>
      </x:c>
    </x:row>
    <x:row r="22" ht="21" customHeight="1">
      <x:c r="B22" s="6" t="str">
        <x:v>Hypothetical inputs, not issuer estimates. This workbook supports a 1-to-12-month horizon with constant monthly carry.</x:v>
      </x:c>
      <x:c r="C22" s="6"/>
      <x:c r="D22" s="6"/>
      <x:c r="E22" s="6"/>
      <x:c r="F22" s="6"/>
      <x:c r="G22" s="6"/>
      <x:c r="H22" s="6"/>
      <x:c r="I22" s="6"/>
      <x:c r="J22" s="6"/>
      <x:c r="K22" s="38" t="str">
        <x:v>现金缺口不含新增借款的利息与费用。</x:v>
      </x:c>
    </x:row>
    <x:row r="23" ht="21" customHeight="1">
      <x:c r="B23" s="2"/>
      <x:c r="C23" s="2"/>
      <x:c r="D23" s="2"/>
      <x:c r="E23" s="2"/>
      <x:c r="F23" s="2"/>
      <x:c r="G23" s="2"/>
      <x:c r="H23" s="2"/>
      <x:c r="I23" s="2"/>
      <x:c r="J23" s="2"/>
      <x:c r="K23" s="38" t="str">
        <x:v>现值更低，也可能需要中途补充现金。</x:v>
      </x:c>
    </x:row>
    <x:row r="24" ht="21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1" customHeight="1">
      <x:c r="B25" s="13" t="str">
        <x:v>Monthly cash schedule</x:v>
      </x:c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1" customHeight="1">
      <x:c r="B26" s="6" t="str">
        <x:v>Positive values are payments. Funding gap is cumulative cash required above opening cash.</x:v>
      </x:c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3" customHeight="1">
      <x:c r="B27" s="45" t="str">
        <x:v>Month</x:v>
      </x:c>
      <x:c r="C27" s="46" t="str">
        <x:v>Carry cost</x:v>
      </x:c>
      <x:c r="D27" s="46" t="str">
        <x:v>Terminal
payment</x:v>
      </x:c>
      <x:c r="E27" s="46" t="str">
        <x:v>Total
payment</x:v>
      </x:c>
      <x:c r="F27" s="46" t="str">
        <x:v>Discount
factor</x:v>
      </x:c>
      <x:c r="G27" s="46" t="str">
        <x:v>Discounted
payment</x:v>
      </x:c>
      <x:c r="H27" s="46" t="str">
        <x:v>Cumulative
payments</x:v>
      </x:c>
      <x:c r="I27" s="47" t="str">
        <x:v>Funding
gap</x:v>
      </x:c>
      <x:c r="J27" s="2"/>
      <x:c r="K27" s="2"/>
    </x:row>
    <x:row r="28" ht="21" customHeight="1">
      <x:c r="B28" s="17" t="n">
        <x:f>IF(AND(ISNUMBER($I$12),$I$12=INT($I$12),$I$12&gt;=1,$I$12&lt;=12),1,NA())</x:f>
        <x:v>1</x:v>
      </x:c>
      <x:c r="C28" s="16" t="n">
        <x:f>IF(B28="","",IF(AND(ISNUMBER($I$11),$I$11&gt;=0),$I$11,NA()))</x:f>
        <x:v>0.5</x:v>
      </x:c>
      <x:c r="D28" s="16" t="n">
        <x:f>IF(B28="","",IF(B28=$I$12,$I$14,0))</x:f>
        <x:v>0</x:v>
      </x:c>
      <x:c r="E28" s="16" t="n">
        <x:f>IF(B28="","",C28+D28)</x:f>
        <x:v>0.5</x:v>
      </x:c>
      <x:c r="F28" s="49" t="n">
        <x:f>IF(B28="","",IF(AND(ISNUMBER($I$10),$I$10&gt;=0),1/(1+$I$10)^(B28/12),NA()))</x:f>
        <x:v>0.993607101988294</x:v>
      </x:c>
      <x:c r="G28" s="16" t="n">
        <x:f>IF(B28="","",E28*F28)</x:f>
        <x:v>0.496803550994147</x:v>
      </x:c>
      <x:c r="H28" s="16" t="n">
        <x:f>IF(B28="","",E28)</x:f>
        <x:v>0.5</x:v>
      </x:c>
      <x:c r="I28" s="16" t="n">
        <x:f>IF(B28="","",IF(AND(ISNUMBER($I$9),$I$9&gt;=0),MAX(0,H28-$I$9),NA()))</x:f>
        <x:v>0</x:v>
      </x:c>
      <x:c r="J28" s="2"/>
      <x:c r="K28" s="2"/>
    </x:row>
    <x:row r="29" ht="21" customHeight="1">
      <x:c r="B29" s="17" t="n">
        <x:f>IF(B28="","",IF(B28&lt;$I$12,B28+1,""))</x:f>
        <x:v>2</x:v>
      </x:c>
      <x:c r="C29" s="16" t="n">
        <x:f>IF(B29="","",IF(AND(ISNUMBER($I$11),$I$11&gt;=0),$I$11,NA()))</x:f>
        <x:v>0.5</x:v>
      </x:c>
      <x:c r="D29" s="16" t="n">
        <x:f>IF(B29="","",IF(B29=$I$12,$I$14,0))</x:f>
        <x:v>0</x:v>
      </x:c>
      <x:c r="E29" s="16" t="n">
        <x:f>IF(B29="","",C29+D29)</x:f>
        <x:v>0.5</x:v>
      </x:c>
      <x:c r="F29" s="49" t="n">
        <x:f>IF(B29="","",IF(AND(ISNUMBER($I$10),$I$10&gt;=0),1/(1+$I$10)^(B29/12),NA()))</x:f>
        <x:v>0.9872550731215761</x:v>
      </x:c>
      <x:c r="G29" s="16" t="n">
        <x:f>IF(B29="","",E29*F29)</x:f>
        <x:v>0.49362753656078806</x:v>
      </x:c>
      <x:c r="H29" s="16" t="n">
        <x:f>IF(B29="","",H28+E29)</x:f>
        <x:v>1</x:v>
      </x:c>
      <x:c r="I29" s="16" t="n">
        <x:f>IF(B29="","",IF(AND(ISNUMBER($I$9),$I$9&gt;=0),MAX(0,H29-$I$9),NA()))</x:f>
        <x:v>0</x:v>
      </x:c>
      <x:c r="J29" s="2"/>
      <x:c r="K29" s="2"/>
    </x:row>
    <x:row r="30" ht="21" customHeight="1">
      <x:c r="B30" s="17" t="n">
        <x:f>IF(B29="","",IF(B29&lt;$I$12,B29+1,""))</x:f>
        <x:v>3</x:v>
      </x:c>
      <x:c r="C30" s="16" t="n">
        <x:f>IF(B30="","",IF(AND(ISNUMBER($I$11),$I$11&gt;=0),$I$11,NA()))</x:f>
        <x:v>0.5</x:v>
      </x:c>
      <x:c r="D30" s="16" t="n">
        <x:f>IF(B30="","",IF(B30=$I$12,$I$14,0))</x:f>
        <x:v>0</x:v>
      </x:c>
      <x:c r="E30" s="16" t="n">
        <x:f>IF(B30="","",C30+D30)</x:f>
        <x:v>0.5</x:v>
      </x:c>
      <x:c r="F30" s="49" t="n">
        <x:f>IF(B30="","",IF(AND(ISNUMBER($I$10),$I$10&gt;=0),1/(1+$I$10)^(B30/12),NA()))</x:f>
        <x:v>0.9809436521275706</x:v>
      </x:c>
      <x:c r="G30" s="16" t="n">
        <x:f>IF(B30="","",E30*F30)</x:f>
        <x:v>0.4904718260637853</x:v>
      </x:c>
      <x:c r="H30" s="16" t="n">
        <x:f>IF(B30="","",H29+E30)</x:f>
        <x:v>1.5</x:v>
      </x:c>
      <x:c r="I30" s="16" t="n">
        <x:f>IF(B30="","",IF(AND(ISNUMBER($I$9),$I$9&gt;=0),MAX(0,H30-$I$9),NA()))</x:f>
        <x:v>0</x:v>
      </x:c>
      <x:c r="J30" s="2"/>
      <x:c r="K30" s="2"/>
    </x:row>
    <x:row r="31" ht="21" customHeight="1">
      <x:c r="B31" s="17" t="n">
        <x:f>IF(B30="","",IF(B30&lt;$I$12,B30+1,""))</x:f>
        <x:v>4</x:v>
      </x:c>
      <x:c r="C31" s="16" t="n">
        <x:f>IF(B31="","",IF(AND(ISNUMBER($I$11),$I$11&gt;=0),$I$11,NA()))</x:f>
        <x:v>0.5</x:v>
      </x:c>
      <x:c r="D31" s="16" t="n">
        <x:f>IF(B31="","",IF(B31=$I$12,$I$14,0))</x:f>
        <x:v>0</x:v>
      </x:c>
      <x:c r="E31" s="16" t="n">
        <x:f>IF(B31="","",C31+D31)</x:f>
        <x:v>0.5</x:v>
      </x:c>
      <x:c r="F31" s="49" t="n">
        <x:f>IF(B31="","",IF(AND(ISNUMBER($I$10),$I$10&gt;=0),1/(1+$I$10)^(B31/12),NA()))</x:f>
        <x:v>0.9746725794042888</x:v>
      </x:c>
      <x:c r="G31" s="16" t="n">
        <x:f>IF(B31="","",E31*F31)</x:f>
        <x:v>0.4873362897021444</x:v>
      </x:c>
      <x:c r="H31" s="16" t="n">
        <x:f>IF(B31="","",H30+E31)</x:f>
        <x:v>2</x:v>
      </x:c>
      <x:c r="I31" s="16" t="n">
        <x:f>IF(B31="","",IF(AND(ISNUMBER($I$9),$I$9&gt;=0),MAX(0,H31-$I$9),NA()))</x:f>
        <x:v>0</x:v>
      </x:c>
      <x:c r="J31" s="2"/>
      <x:c r="K31" s="2"/>
    </x:row>
    <x:row r="32" ht="21" customHeight="1">
      <x:c r="B32" s="17" t="n">
        <x:f>IF(B31="","",IF(B31&lt;$I$12,B31+1,""))</x:f>
        <x:v>5</x:v>
      </x:c>
      <x:c r="C32" s="16" t="n">
        <x:f>IF(B32="","",IF(AND(ISNUMBER($I$11),$I$11&gt;=0),$I$11,NA()))</x:f>
        <x:v>0.5</x:v>
      </x:c>
      <x:c r="D32" s="16" t="n">
        <x:f>IF(B32="","",IF(B32=$I$12,$I$14,0))</x:f>
        <x:v>0</x:v>
      </x:c>
      <x:c r="E32" s="16" t="n">
        <x:f>IF(B32="","",C32+D32)</x:f>
        <x:v>0.5</x:v>
      </x:c>
      <x:c r="F32" s="49" t="n">
        <x:f>IF(B32="","",IF(AND(ISNUMBER($I$10),$I$10&gt;=0),1/(1+$I$10)^(B32/12),NA()))</x:f>
        <x:v>0.9684415970093507</x:v>
      </x:c>
      <x:c r="G32" s="16" t="n">
        <x:f>IF(B32="","",E32*F32)</x:f>
        <x:v>0.48422079850467536</x:v>
      </x:c>
      <x:c r="H32" s="16" t="n">
        <x:f>IF(B32="","",H31+E32)</x:f>
        <x:v>2.5</x:v>
      </x:c>
      <x:c r="I32" s="16" t="n">
        <x:f>IF(B32="","",IF(AND(ISNUMBER($I$9),$I$9&gt;=0),MAX(0,H32-$I$9),NA()))</x:f>
        <x:v>0</x:v>
      </x:c>
      <x:c r="J32" s="2"/>
      <x:c r="K32" s="2"/>
    </x:row>
    <x:row r="33" ht="21" customHeight="1">
      <x:c r="B33" s="17" t="n">
        <x:f>IF(B32="","",IF(B32&lt;$I$12,B32+1,""))</x:f>
        <x:v>6</x:v>
      </x:c>
      <x:c r="C33" s="16" t="n">
        <x:f>IF(B33="","",IF(AND(ISNUMBER($I$11),$I$11&gt;=0),$I$11,NA()))</x:f>
        <x:v>0.5</x:v>
      </x:c>
      <x:c r="D33" s="16" t="n">
        <x:f>IF(B33="","",IF(B33=$I$12,$I$14,0))</x:f>
        <x:v>0</x:v>
      </x:c>
      <x:c r="E33" s="16" t="n">
        <x:f>IF(B33="","",C33+D33)</x:f>
        <x:v>0.5</x:v>
      </x:c>
      <x:c r="F33" s="49" t="n">
        <x:f>IF(B33="","",IF(AND(ISNUMBER($I$10),$I$10&gt;=0),1/(1+$I$10)^(B33/12),NA()))</x:f>
        <x:v>0.9622504486493761</x:v>
      </x:c>
      <x:c r="G33" s="16" t="n">
        <x:f>IF(B33="","",E33*F33)</x:f>
        <x:v>0.48112522432468807</x:v>
      </x:c>
      <x:c r="H33" s="16" t="n">
        <x:f>IF(B33="","",H32+E33)</x:f>
        <x:v>3</x:v>
      </x:c>
      <x:c r="I33" s="16" t="n">
        <x:f>IF(B33="","",IF(AND(ISNUMBER($I$9),$I$9&gt;=0),MAX(0,H33-$I$9),NA()))</x:f>
        <x:v>0</x:v>
      </x:c>
      <x:c r="J33" s="2"/>
      <x:c r="K33" s="2"/>
    </x:row>
    <x:row r="34" ht="21" customHeight="1">
      <x:c r="B34" s="17" t="n">
        <x:f>IF(B33="","",IF(B33&lt;$I$12,B33+1,""))</x:f>
        <x:v>7</x:v>
      </x:c>
      <x:c r="C34" s="16" t="n">
        <x:f>IF(B34="","",IF(AND(ISNUMBER($I$11),$I$11&gt;=0),$I$11,NA()))</x:f>
        <x:v>0.5</x:v>
      </x:c>
      <x:c r="D34" s="16" t="n">
        <x:f>IF(B34="","",IF(B34=$I$12,$I$14,0))</x:f>
        <x:v>0</x:v>
      </x:c>
      <x:c r="E34" s="16" t="n">
        <x:f>IF(B34="","",C34+D34)</x:f>
        <x:v>0.5</x:v>
      </x:c>
      <x:c r="F34" s="49" t="n">
        <x:f>IF(B34="","",IF(AND(ISNUMBER($I$10),$I$10&gt;=0),1/(1+$I$10)^(B34/12),NA()))</x:f>
        <x:v>0.9560988796694425</x:v>
      </x:c>
      <x:c r="G34" s="16" t="n">
        <x:f>IF(B34="","",E34*F34)</x:f>
        <x:v>0.47804943983472126</x:v>
      </x:c>
      <x:c r="H34" s="16" t="n">
        <x:f>IF(B34="","",H33+E34)</x:f>
        <x:v>3.5</x:v>
      </x:c>
      <x:c r="I34" s="16" t="n">
        <x:f>IF(B34="","",IF(AND(ISNUMBER($I$9),$I$9&gt;=0),MAX(0,H34-$I$9),NA()))</x:f>
        <x:v>0.5</x:v>
      </x:c>
      <x:c r="J34" s="2"/>
      <x:c r="K34" s="2"/>
    </x:row>
    <x:row r="35" ht="21" customHeight="1">
      <x:c r="B35" s="17" t="n">
        <x:f>IF(B34="","",IF(B34&lt;$I$12,B34+1,""))</x:f>
        <x:v>8</x:v>
      </x:c>
      <x:c r="C35" s="16" t="n">
        <x:f>IF(B35="","",IF(AND(ISNUMBER($I$11),$I$11&gt;=0),$I$11,NA()))</x:f>
        <x:v>0.5</x:v>
      </x:c>
      <x:c r="D35" s="16" t="n">
        <x:f>IF(B35="","",IF(B35=$I$12,$I$14,0))</x:f>
        <x:v>0</x:v>
      </x:c>
      <x:c r="E35" s="16" t="n">
        <x:f>IF(B35="","",C35+D35)</x:f>
        <x:v>0.5</x:v>
      </x:c>
      <x:c r="F35" s="49" t="n">
        <x:f>IF(B35="","",IF(AND(ISNUMBER($I$10),$I$10&gt;=0),1/(1+$I$10)^(B35/12),NA()))</x:f>
        <x:v>0.9499866370426095</x:v>
      </x:c>
      <x:c r="G35" s="16" t="n">
        <x:f>IF(B35="","",E35*F35)</x:f>
        <x:v>0.4749933185213048</x:v>
      </x:c>
      <x:c r="H35" s="16" t="n">
        <x:f>IF(B35="","",H34+E35)</x:f>
        <x:v>4</x:v>
      </x:c>
      <x:c r="I35" s="16" t="n">
        <x:f>IF(B35="","",IF(AND(ISNUMBER($I$9),$I$9&gt;=0),MAX(0,H35-$I$9),NA()))</x:f>
        <x:v>1</x:v>
      </x:c>
      <x:c r="J35" s="2"/>
      <x:c r="K35" s="2"/>
    </x:row>
    <x:row r="36" ht="21" customHeight="1">
      <x:c r="B36" s="17" t="n">
        <x:f>IF(B35="","",IF(B35&lt;$I$12,B35+1,""))</x:f>
        <x:v>9</x:v>
      </x:c>
      <x:c r="C36" s="16" t="n">
        <x:f>IF(B36="","",IF(AND(ISNUMBER($I$11),$I$11&gt;=0),$I$11,NA()))</x:f>
        <x:v>0.5</x:v>
      </x:c>
      <x:c r="D36" s="16" t="n">
        <x:f>IF(B36="","",IF(B36=$I$12,$I$14,0))</x:f>
        <x:v>0</x:v>
      </x:c>
      <x:c r="E36" s="16" t="n">
        <x:f>IF(B36="","",C36+D36)</x:f>
        <x:v>0.5</x:v>
      </x:c>
      <x:c r="F36" s="49" t="n">
        <x:f>IF(B36="","",IF(AND(ISNUMBER($I$10),$I$10&gt;=0),1/(1+$I$10)^(B36/12),NA()))</x:f>
        <x:v>0.9439134693595125</x:v>
      </x:c>
      <x:c r="G36" s="16" t="n">
        <x:f>IF(B36="","",E36*F36)</x:f>
        <x:v>0.47195673467975624</x:v>
      </x:c>
      <x:c r="H36" s="16" t="n">
        <x:f>IF(B36="","",H35+E36)</x:f>
        <x:v>4.5</x:v>
      </x:c>
      <x:c r="I36" s="16" t="n">
        <x:f>IF(B36="","",IF(AND(ISNUMBER($I$9),$I$9&gt;=0),MAX(0,H36-$I$9),NA()))</x:f>
        <x:v>1.5</x:v>
      </x:c>
      <x:c r="J36" s="2"/>
      <x:c r="K36" s="2"/>
    </x:row>
    <x:row r="37" ht="21" customHeight="1">
      <x:c r="B37" s="17" t="n">
        <x:f>IF(B36="","",IF(B36&lt;$I$12,B36+1,""))</x:f>
        <x:v>10</x:v>
      </x:c>
      <x:c r="C37" s="16" t="n">
        <x:f>IF(B37="","",IF(AND(ISNUMBER($I$11),$I$11&gt;=0),$I$11,NA()))</x:f>
        <x:v>0.5</x:v>
      </x:c>
      <x:c r="D37" s="16" t="n">
        <x:f>IF(B37="","",IF(B37=$I$12,$I$14,0))</x:f>
        <x:v>0</x:v>
      </x:c>
      <x:c r="E37" s="16" t="n">
        <x:f>IF(B37="","",C37+D37)</x:f>
        <x:v>0.5</x:v>
      </x:c>
      <x:c r="F37" s="49" t="n">
        <x:f>IF(B37="","",IF(AND(ISNUMBER($I$10),$I$10&gt;=0),1/(1+$I$10)^(B37/12),NA()))</x:f>
        <x:v>0.9378791268180217</x:v>
      </x:c>
      <x:c r="G37" s="16" t="n">
        <x:f>IF(B37="","",E37*F37)</x:f>
        <x:v>0.46893956340901083</x:v>
      </x:c>
      <x:c r="H37" s="16" t="n">
        <x:f>IF(B37="","",H36+E37)</x:f>
        <x:v>5</x:v>
      </x:c>
      <x:c r="I37" s="16" t="n">
        <x:f>IF(B37="","",IF(AND(ISNUMBER($I$9),$I$9&gt;=0),MAX(0,H37-$I$9),NA()))</x:f>
        <x:v>2</x:v>
      </x:c>
      <x:c r="J37" s="2"/>
      <x:c r="K37" s="2"/>
    </x:row>
    <x:row r="38" ht="21" customHeight="1">
      <x:c r="B38" s="17" t="n">
        <x:f>IF(B37="","",IF(B37&lt;$I$12,B37+1,""))</x:f>
        <x:v>11</x:v>
      </x:c>
      <x:c r="C38" s="16" t="n">
        <x:f>IF(B38="","",IF(AND(ISNUMBER($I$11),$I$11&gt;=0),$I$11,NA()))</x:f>
        <x:v>0.5</x:v>
      </x:c>
      <x:c r="D38" s="16" t="n">
        <x:f>IF(B38="","",IF(B38=$I$12,$I$14,0))</x:f>
        <x:v>0</x:v>
      </x:c>
      <x:c r="E38" s="16" t="n">
        <x:f>IF(B38="","",C38+D38)</x:f>
        <x:v>0.5</x:v>
      </x:c>
      <x:c r="F38" s="49" t="n">
        <x:f>IF(B38="","",IF(AND(ISNUMBER($I$10),$I$10&gt;=0),1/(1+$I$10)^(B38/12),NA()))</x:f>
        <x:v>0.9318833612129662</x:v>
      </x:c>
      <x:c r="G38" s="16" t="n">
        <x:f>IF(B38="","",E38*F38)</x:f>
        <x:v>0.4659416806064831</x:v>
      </x:c>
      <x:c r="H38" s="16" t="n">
        <x:f>IF(B38="","",H37+E38)</x:f>
        <x:v>5.5</x:v>
      </x:c>
      <x:c r="I38" s="16" t="n">
        <x:f>IF(B38="","",IF(AND(ISNUMBER($I$9),$I$9&gt;=0),MAX(0,H38-$I$9),NA()))</x:f>
        <x:v>2.5</x:v>
      </x:c>
      <x:c r="J38" s="2"/>
      <x:c r="K38" s="2"/>
    </x:row>
    <x:row r="39" ht="21" customHeight="1">
      <x:c r="B39" s="17" t="n">
        <x:f>IF(B38="","",IF(B38&lt;$I$12,B38+1,""))</x:f>
        <x:v>12</x:v>
      </x:c>
      <x:c r="C39" s="16" t="n">
        <x:f>IF(B39="","",IF(AND(ISNUMBER($I$11),$I$11&gt;=0),$I$11,NA()))</x:f>
        <x:v>0.5</x:v>
      </x:c>
      <x:c r="D39" s="16" t="n">
        <x:f>IF(B39="","",IF(B39=$I$12,$I$14,0))</x:f>
        <x:v>50</x:v>
      </x:c>
      <x:c r="E39" s="16" t="n">
        <x:f>IF(B39="","",C39+D39)</x:f>
        <x:v>50.5</x:v>
      </x:c>
      <x:c r="F39" s="49" t="n">
        <x:f>IF(B39="","",IF(AND(ISNUMBER($I$10),$I$10&gt;=0),1/(1+$I$10)^(B39/12),NA()))</x:f>
        <x:v>0.9259259259259258</x:v>
      </x:c>
      <x:c r="G39" s="16" t="n">
        <x:f>IF(B39="","",E39*F39)</x:f>
        <x:v>46.75925925925925</x:v>
      </x:c>
      <x:c r="H39" s="16" t="n">
        <x:f>IF(B39="","",H38+E39)</x:f>
        <x:v>56</x:v>
      </x:c>
      <x:c r="I39" s="16" t="n">
        <x:f>IF(B39="","",IF(AND(ISNUMBER($I$9),$I$9&gt;=0),MAX(0,H39-$I$9),NA()))</x:f>
        <x:v>53</x:v>
      </x:c>
      <x:c r="J39" s="2"/>
      <x:c r="K39" s="2"/>
    </x:row>
  </x:sheetData>
  <x:conditionalFormatting sqref="E9:E9">
    <x:cfRule type="cellIs" dxfId="0" priority="1" operator="lessThan">
      <x:formula>0</x:formula>
    </x:cfRule>
  </x:conditionalFormatting>
  <x:conditionalFormatting sqref="E11:E11">
    <x:cfRule type="cellIs" dxfId="1" priority="2" operator="greaterThan">
      <x:formula>0</x:formula>
    </x:cfRule>
  </x:conditionalFormatting>
  <x:conditionalFormatting sqref="I4:I4">
    <x:cfRule type="expression" dxfId="2" priority="3">
      <x:formula>NOT(OR(I4=1,I4=2))</x:formula>
    </x:cfRule>
  </x:conditionalFormatting>
  <x:conditionalFormatting sqref="I8:I8">
    <x:cfRule type="expression" dxfId="3" priority="4">
      <x:formula>NOT(AND(ISNUMBER(I8),I8&gt;=0))</x:formula>
    </x:cfRule>
  </x:conditionalFormatting>
  <x:conditionalFormatting sqref="I9:I9">
    <x:cfRule type="expression" dxfId="4" priority="5">
      <x:formula>NOT(AND(ISNUMBER(I9),I9&gt;=0))</x:formula>
    </x:cfRule>
  </x:conditionalFormatting>
  <x:conditionalFormatting sqref="I10:I10">
    <x:cfRule type="expression" dxfId="5" priority="6">
      <x:formula>NOT(AND(ISNUMBER(I10),I10&gt;=0))</x:formula>
    </x:cfRule>
  </x:conditionalFormatting>
  <x:conditionalFormatting sqref="I11:I11">
    <x:cfRule type="expression" dxfId="6" priority="7">
      <x:formula>NOT(AND(ISNUMBER(I11),I11&gt;=0))</x:formula>
    </x:cfRule>
  </x:conditionalFormatting>
  <x:conditionalFormatting sqref="I12:I12">
    <x:cfRule type="expression" dxfId="7" priority="8">
      <x:formula>NOT(AND(ISNUMBER(I12),I12=INT(I12),I12&gt;=1,I12&lt;=12))</x:formula>
    </x:cfRule>
  </x:conditionalFormatting>
  <x:conditionalFormatting sqref="I15:I15">
    <x:cfRule type="expression" dxfId="8" priority="9">
      <x:formula>NOT(AND(ISNUMBER(I15),I15&gt;=0))</x:formula>
    </x:cfRule>
  </x:conditionalFormatting>
  <x:conditionalFormatting sqref="I16:I16">
    <x:cfRule type="expression" dxfId="9" priority="10">
      <x:formula>NOT(AND(ISNUMBER(I16),I16&gt;=0))</x:formula>
    </x:cfRule>
  </x:conditionalFormatting>
  <x:conditionalFormatting sqref="I28:I39">
    <x:cfRule type="cellIs" dxfId="10" priority="11" operator="greaterThan">
      <x:formula>0</x:formula>
    </x:cfRule>
  </x:conditionalFormatting>
  <x:conditionalFormatting sqref="B28:I39">
    <x:cfRule type="expression" dxfId="11" priority="12">
      <x:formula>AND(ISNUMBER($B28),$B28=$I$12)</x:formula>
    </x:cfRule>
  </x:conditionalFormatting>
  <x:conditionalFormatting sqref="E8:E15">
    <x:cfRule type="containsErrors" dxfId="12" priority="13"/>
  </x:conditionalFormatting>
  <x:dataValidations count="2">
    <x:dataValidation type="whole" operator="between" sqref="I4">
      <x:formula1>1</x:formula1>
      <x:formula2>2</x:formula2>
    </x:dataValidation>
    <x:dataValidation type="whole" operator="between" sqref="I12">
      <x:formula1>1</x:formula1>
      <x:formula2>12</x:formula2>
    </x:dataValidation>
  </x:dataValidations>
  <x:pageMargins left="0.7" right="0.7" top="0.75" bottom="0.75" header="0.3" footer="0.3"/>
</x:worksheet>
</file>